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8795" windowHeight="10995" activeTab="0"/>
  </bookViews>
  <sheets>
    <sheet name="model" sheetId="1" r:id="rId1"/>
  </sheets>
  <definedNames/>
  <calcPr fullCalcOnLoad="1"/>
</workbook>
</file>

<file path=xl/comments1.xml><?xml version="1.0" encoding="utf-8"?>
<comments xmlns="http://schemas.openxmlformats.org/spreadsheetml/2006/main">
  <authors>
    <author>rob</author>
  </authors>
  <commentList>
    <comment ref="B40" authorId="0">
      <text>
        <r>
          <rPr>
            <b/>
            <sz val="8"/>
            <rFont val="Tahoma"/>
            <family val="0"/>
          </rPr>
          <t>rob:</t>
        </r>
        <r>
          <rPr>
            <sz val="8"/>
            <rFont val="Tahoma"/>
            <family val="0"/>
          </rPr>
          <t xml:space="preserve">
not to be used at the same time as PVRP/SHCP rebate &amp; RECs subsidy </t>
        </r>
      </text>
    </comment>
    <comment ref="B37" authorId="0">
      <text>
        <r>
          <rPr>
            <b/>
            <sz val="8"/>
            <rFont val="Tahoma"/>
            <family val="0"/>
          </rPr>
          <t>rob:</t>
        </r>
        <r>
          <rPr>
            <sz val="8"/>
            <rFont val="Tahoma"/>
            <family val="0"/>
          </rPr>
          <t xml:space="preserve">
not to be used at the same time as Solar Credits &amp; RECs subsidy </t>
        </r>
      </text>
    </comment>
  </commentList>
</comments>
</file>

<file path=xl/sharedStrings.xml><?xml version="1.0" encoding="utf-8"?>
<sst xmlns="http://schemas.openxmlformats.org/spreadsheetml/2006/main" count="73" uniqueCount="61">
  <si>
    <t>PV payback ledger</t>
  </si>
  <si>
    <t>retail electricity $/kWh</t>
  </si>
  <si>
    <t>end of year</t>
  </si>
  <si>
    <t>generation kWh/year</t>
  </si>
  <si>
    <t>interest expense</t>
  </si>
  <si>
    <t>ex-GST</t>
  </si>
  <si>
    <t>inc-GST</t>
  </si>
  <si>
    <t>decrease in starting PV system cost</t>
  </si>
  <si>
    <t>increase in starting electricity cost</t>
  </si>
  <si>
    <t>decrease in PV generation per year</t>
  </si>
  <si>
    <t>Qld retail electricity prices</t>
  </si>
  <si>
    <t>increase</t>
  </si>
  <si>
    <t>feed in tariff (lasts until 2028)</t>
  </si>
  <si>
    <t>FiT is not applicable</t>
  </si>
  <si>
    <t>for strict grid parity</t>
  </si>
  <si>
    <t>average increase</t>
  </si>
  <si>
    <t>increase in electricity price per year</t>
  </si>
  <si>
    <t>kW system size</t>
  </si>
  <si>
    <t>ANZSES Brisbane Branch talk 11/8/2009</t>
  </si>
  <si>
    <t>$/REC</t>
  </si>
  <si>
    <t>are not applicable</t>
  </si>
  <si>
    <t>$ in RECs and Solar Credits</t>
  </si>
  <si>
    <t>inverter replacement cost in each of year 11 &amp; year 21</t>
  </si>
  <si>
    <t>kWh/kW/day in Brisbane</t>
  </si>
  <si>
    <t>unirac framing</t>
  </si>
  <si>
    <t>sharp panels (made in japan - 25 year limited peformance warranty)</t>
  </si>
  <si>
    <t>3kW unsubsidised system cost (Local Power BG#3)</t>
  </si>
  <si>
    <t>$/kWh</t>
  </si>
  <si>
    <t>FiT generation income</t>
  </si>
  <si>
    <t>total generation income</t>
  </si>
  <si>
    <t>grid replacement income</t>
  </si>
  <si>
    <t>grid replacement kWh</t>
  </si>
  <si>
    <t>FiT kWh</t>
  </si>
  <si>
    <t>FiT subsidy</t>
  </si>
  <si>
    <t>Solar Credits &amp; RECs</t>
  </si>
  <si>
    <t>$ in RECs and PVRP/SHCP rebate</t>
  </si>
  <si>
    <t>kW</t>
  </si>
  <si>
    <t>set to 0 to turn off</t>
  </si>
  <si>
    <t>fronius inverter replacement cost</t>
  </si>
  <si>
    <t>Local Power 2009 2kW system</t>
  </si>
  <si>
    <t>Local Power 2009 1.5kW system</t>
  </si>
  <si>
    <t>Local Power 2009 3kW system - unsubsidised fully installed pricing on tin roof</t>
  </si>
  <si>
    <t>Buying Group #3 (BG#3)</t>
  </si>
  <si>
    <t>Local Power 2009 1kW system (latronics inverter)</t>
  </si>
  <si>
    <t>latronics inverter replacement cost</t>
  </si>
  <si>
    <t>fronius inverter (5 years warranty - add 10 extended warranty)</t>
  </si>
  <si>
    <t>subsidy</t>
  </si>
  <si>
    <t>unsubsidised cost</t>
  </si>
  <si>
    <t>percent exported to grid</t>
  </si>
  <si>
    <t>latronics inverter (5 year warranty)</t>
  </si>
  <si>
    <t>expense</t>
  </si>
  <si>
    <t>inverter replaced in year 11</t>
  </si>
  <si>
    <t>inverter replaced in year 21 &amp; FiT finishes</t>
  </si>
  <si>
    <t>interest rate</t>
  </si>
  <si>
    <t>add modelling PV incentives (past and present)</t>
  </si>
  <si>
    <t>add modelling of finance/interest/opportunity costs</t>
  </si>
  <si>
    <t>RECs in Brisbane (15 year deeming)</t>
  </si>
  <si>
    <t>Local Power Grid Parity Model</t>
  </si>
  <si>
    <t>can modify these model variables in yellow</t>
  </si>
  <si>
    <t>Old PVRP/SHCP rebate &amp; RECs</t>
  </si>
  <si>
    <t>income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</si>
</sst>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%"/>
    <numFmt numFmtId="171" formatCode="#,##0.00_ ;[Red]\-#,##0.00\ "/>
    <numFmt numFmtId="172" formatCode="#,##0.000_ ;[Red]\-#,##0.000\ "/>
    <numFmt numFmtId="173" formatCode="&quot;$&quot;#,##0"/>
    <numFmt numFmtId="174" formatCode="&quot;$&quot;#,##0.0000"/>
    <numFmt numFmtId="175" formatCode="&quot;$&quot;#,##0.00"/>
    <numFmt numFmtId="176" formatCode="&quot;$&quot;#,##0.0"/>
    <numFmt numFmtId="177" formatCode="&quot;$&quot;#,##0.000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75"/>
      <name val="Arial"/>
      <family val="0"/>
    </font>
    <font>
      <b/>
      <sz val="9.5"/>
      <name val="Arial"/>
      <family val="0"/>
    </font>
    <font>
      <b/>
      <sz val="8.75"/>
      <name val="Arial"/>
      <family val="0"/>
    </font>
    <font>
      <sz val="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5"/>
      <name val="Arial"/>
      <family val="0"/>
    </font>
    <font>
      <sz val="5.25"/>
      <name val="Arial"/>
      <family val="0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69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2" borderId="4" xfId="0" applyNumberFormat="1" applyFill="1" applyBorder="1" applyAlignment="1">
      <alignment/>
    </xf>
    <xf numFmtId="9" fontId="0" fillId="2" borderId="3" xfId="0" applyNumberFormat="1" applyFill="1" applyBorder="1" applyAlignment="1">
      <alignment/>
    </xf>
    <xf numFmtId="10" fontId="0" fillId="0" borderId="0" xfId="0" applyNumberFormat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1" fontId="0" fillId="0" borderId="5" xfId="0" applyNumberFormat="1" applyBorder="1" applyAlignment="1">
      <alignment/>
    </xf>
    <xf numFmtId="0" fontId="0" fillId="0" borderId="2" xfId="0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1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6" xfId="0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3" fontId="0" fillId="0" borderId="0" xfId="0" applyNumberFormat="1" applyAlignment="1">
      <alignment/>
    </xf>
    <xf numFmtId="0" fontId="0" fillId="3" borderId="6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1" fontId="0" fillId="0" borderId="5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15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0" fontId="2" fillId="0" borderId="0" xfId="19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10" fontId="2" fillId="0" borderId="2" xfId="0" applyNumberFormat="1" applyFont="1" applyBorder="1" applyAlignment="1">
      <alignment/>
    </xf>
    <xf numFmtId="0" fontId="2" fillId="0" borderId="6" xfId="0" applyFont="1" applyBorder="1" applyAlignment="1">
      <alignment/>
    </xf>
    <xf numFmtId="10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0" fontId="2" fillId="0" borderId="1" xfId="0" applyNumberFormat="1" applyFont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77" fontId="0" fillId="3" borderId="8" xfId="0" applyNumberFormat="1" applyFill="1" applyBorder="1" applyAlignment="1">
      <alignment/>
    </xf>
    <xf numFmtId="177" fontId="0" fillId="3" borderId="8" xfId="0" applyNumberFormat="1" applyFill="1" applyBorder="1" applyAlignment="1">
      <alignment horizontal="right"/>
    </xf>
    <xf numFmtId="177" fontId="0" fillId="3" borderId="7" xfId="0" applyNumberFormat="1" applyFill="1" applyBorder="1" applyAlignment="1">
      <alignment/>
    </xf>
    <xf numFmtId="0" fontId="0" fillId="0" borderId="8" xfId="0" applyBorder="1" applyAlignment="1">
      <alignment/>
    </xf>
    <xf numFmtId="170" fontId="0" fillId="2" borderId="3" xfId="0" applyNumberFormat="1" applyFill="1" applyBorder="1" applyAlignment="1">
      <alignment/>
    </xf>
    <xf numFmtId="0" fontId="0" fillId="0" borderId="6" xfId="0" applyBorder="1" applyAlignment="1">
      <alignment horizontal="right"/>
    </xf>
    <xf numFmtId="9" fontId="0" fillId="0" borderId="4" xfId="0" applyNumberFormat="1" applyFill="1" applyBorder="1" applyAlignment="1">
      <alignment/>
    </xf>
    <xf numFmtId="0" fontId="0" fillId="0" borderId="8" xfId="0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4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10" xfId="0" applyFont="1" applyBorder="1" applyAlignment="1">
      <alignment/>
    </xf>
    <xf numFmtId="10" fontId="0" fillId="0" borderId="1" xfId="0" applyNumberFormat="1" applyBorder="1" applyAlignment="1">
      <alignment/>
    </xf>
    <xf numFmtId="0" fontId="1" fillId="2" borderId="5" xfId="0" applyFont="1" applyFill="1" applyBorder="1" applyAlignment="1">
      <alignment/>
    </xf>
    <xf numFmtId="0" fontId="0" fillId="0" borderId="7" xfId="0" applyBorder="1" applyAlignment="1">
      <alignment horizontal="right"/>
    </xf>
    <xf numFmtId="173" fontId="0" fillId="2" borderId="5" xfId="0" applyNumberFormat="1" applyFill="1" applyBorder="1" applyAlignment="1">
      <alignment/>
    </xf>
    <xf numFmtId="0" fontId="0" fillId="0" borderId="0" xfId="0" applyBorder="1" applyAlignment="1">
      <alignment horizontal="left"/>
    </xf>
    <xf numFmtId="177" fontId="0" fillId="0" borderId="7" xfId="0" applyNumberFormat="1" applyBorder="1" applyAlignment="1">
      <alignment/>
    </xf>
    <xf numFmtId="4" fontId="0" fillId="2" borderId="5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0" borderId="7" xfId="0" applyBorder="1" applyAlignment="1">
      <alignment/>
    </xf>
    <xf numFmtId="170" fontId="0" fillId="2" borderId="5" xfId="0" applyNumberFormat="1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1" xfId="0" applyFill="1" applyBorder="1" applyAlignment="1">
      <alignment/>
    </xf>
    <xf numFmtId="0" fontId="13" fillId="0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PV payback ledger</a:t>
            </a:r>
          </a:p>
        </c:rich>
      </c:tx>
      <c:layout>
        <c:manualLayout>
          <c:xMode val="factor"/>
          <c:yMode val="factor"/>
          <c:x val="-0.290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1825"/>
          <c:w val="0.909"/>
          <c:h val="0.80625"/>
        </c:manualLayout>
      </c:layout>
      <c:lineChart>
        <c:grouping val="standard"/>
        <c:varyColors val="0"/>
        <c:ser>
          <c:idx val="1"/>
          <c:order val="0"/>
          <c:tx>
            <c:v>PV system payback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model!$D$53:$AG$53</c:f>
              <c:numCache/>
            </c:numRef>
          </c:val>
          <c:smooth val="0"/>
        </c:ser>
        <c:marker val="1"/>
        <c:axId val="18758491"/>
        <c:axId val="34608692"/>
      </c:lineChart>
      <c:catAx>
        <c:axId val="18758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08692"/>
        <c:crosses val="autoZero"/>
        <c:auto val="1"/>
        <c:lblOffset val="100"/>
        <c:noMultiLvlLbl val="0"/>
      </c:catAx>
      <c:valAx>
        <c:axId val="34608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ledger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58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345"/>
          <c:y val="0.0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975"/>
          <c:w val="0.944"/>
          <c:h val="0.85125"/>
        </c:manualLayout>
      </c:layout>
      <c:lineChart>
        <c:grouping val="standard"/>
        <c:varyColors val="0"/>
        <c:ser>
          <c:idx val="2"/>
          <c:order val="0"/>
          <c:tx>
            <c:strRef>
              <c:f>model!$C$55</c:f>
              <c:strCache>
                <c:ptCount val="1"/>
                <c:pt idx="0">
                  <c:v>retail electricity $/kWh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model!$D$52:$AG$52</c:f>
              <c:numCache/>
            </c:numRef>
          </c:cat>
          <c:val>
            <c:numRef>
              <c:f>model!$D$55:$AG$55</c:f>
              <c:numCache/>
            </c:numRef>
          </c:val>
          <c:smooth val="0"/>
        </c:ser>
        <c:marker val="1"/>
        <c:axId val="43042773"/>
        <c:axId val="51840638"/>
      </c:lineChart>
      <c:catAx>
        <c:axId val="4304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40638"/>
        <c:crosses val="autoZero"/>
        <c:auto val="1"/>
        <c:lblOffset val="100"/>
        <c:noMultiLvlLbl val="0"/>
      </c:catAx>
      <c:valAx>
        <c:axId val="51840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42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075"/>
          <c:y val="0.01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1655"/>
          <c:w val="0.823"/>
          <c:h val="0.7845"/>
        </c:manualLayout>
      </c:layout>
      <c:lineChart>
        <c:grouping val="standard"/>
        <c:varyColors val="0"/>
        <c:ser>
          <c:idx val="3"/>
          <c:order val="0"/>
          <c:tx>
            <c:strRef>
              <c:f>model!$C$56</c:f>
              <c:strCache>
                <c:ptCount val="1"/>
                <c:pt idx="0">
                  <c:v>interest expense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model!$D$52:$AG$52</c:f>
              <c:numCache/>
            </c:numRef>
          </c:cat>
          <c:val>
            <c:numRef>
              <c:f>model!$D$56:$AG$56</c:f>
              <c:numCache/>
            </c:numRef>
          </c:val>
          <c:smooth val="0"/>
        </c:ser>
        <c:ser>
          <c:idx val="9"/>
          <c:order val="1"/>
          <c:tx>
            <c:strRef>
              <c:f>model!$C$62</c:f>
              <c:strCache>
                <c:ptCount val="1"/>
                <c:pt idx="0">
                  <c:v>total generation income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model!$D$52:$AG$52</c:f>
              <c:numCache/>
            </c:numRef>
          </c:cat>
          <c:val>
            <c:numRef>
              <c:f>model!$D$62:$AG$62</c:f>
              <c:numCache/>
            </c:numRef>
          </c:val>
          <c:smooth val="0"/>
        </c:ser>
        <c:marker val="1"/>
        <c:axId val="63912559"/>
        <c:axId val="38342120"/>
      </c:lineChart>
      <c:catAx>
        <c:axId val="63912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42120"/>
        <c:crosses val="autoZero"/>
        <c:auto val="1"/>
        <c:lblOffset val="100"/>
        <c:noMultiLvlLbl val="0"/>
      </c:catAx>
      <c:valAx>
        <c:axId val="38342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12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725"/>
          <c:y val="0.0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0</xdr:row>
      <xdr:rowOff>104775</xdr:rowOff>
    </xdr:from>
    <xdr:to>
      <xdr:col>18</xdr:col>
      <xdr:colOff>400050</xdr:colOff>
      <xdr:row>31</xdr:row>
      <xdr:rowOff>85725</xdr:rowOff>
    </xdr:to>
    <xdr:graphicFrame>
      <xdr:nvGraphicFramePr>
        <xdr:cNvPr id="1" name="Chart 2"/>
        <xdr:cNvGraphicFramePr/>
      </xdr:nvGraphicFramePr>
      <xdr:xfrm>
        <a:off x="6019800" y="104775"/>
        <a:ext cx="64293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76200</xdr:colOff>
      <xdr:row>31</xdr:row>
      <xdr:rowOff>152400</xdr:rowOff>
    </xdr:from>
    <xdr:to>
      <xdr:col>13</xdr:col>
      <xdr:colOff>171450</xdr:colOff>
      <xdr:row>43</xdr:row>
      <xdr:rowOff>85725</xdr:rowOff>
    </xdr:to>
    <xdr:graphicFrame>
      <xdr:nvGraphicFramePr>
        <xdr:cNvPr id="2" name="Chart 6"/>
        <xdr:cNvGraphicFramePr/>
      </xdr:nvGraphicFramePr>
      <xdr:xfrm>
        <a:off x="6029325" y="4286250"/>
        <a:ext cx="314325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238125</xdr:colOff>
      <xdr:row>31</xdr:row>
      <xdr:rowOff>133350</xdr:rowOff>
    </xdr:from>
    <xdr:to>
      <xdr:col>18</xdr:col>
      <xdr:colOff>419100</xdr:colOff>
      <xdr:row>43</xdr:row>
      <xdr:rowOff>114300</xdr:rowOff>
    </xdr:to>
    <xdr:graphicFrame>
      <xdr:nvGraphicFramePr>
        <xdr:cNvPr id="3" name="Chart 7"/>
        <xdr:cNvGraphicFramePr/>
      </xdr:nvGraphicFramePr>
      <xdr:xfrm>
        <a:off x="9239250" y="4267200"/>
        <a:ext cx="3228975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3" width="22.00390625" style="0" customWidth="1"/>
  </cols>
  <sheetData>
    <row r="1" ht="12.75">
      <c r="B1" s="1" t="s">
        <v>18</v>
      </c>
    </row>
    <row r="2" ht="4.5" customHeight="1" thickBot="1"/>
    <row r="3" spans="2:8" ht="9.75" customHeight="1">
      <c r="B3" s="60" t="s">
        <v>10</v>
      </c>
      <c r="C3" s="30"/>
      <c r="D3" s="30" t="s">
        <v>5</v>
      </c>
      <c r="E3" s="30" t="s">
        <v>6</v>
      </c>
      <c r="F3" s="30" t="s">
        <v>11</v>
      </c>
      <c r="G3" s="30"/>
      <c r="H3" s="31"/>
    </row>
    <row r="4" spans="2:8" ht="9.75" customHeight="1">
      <c r="B4" s="32"/>
      <c r="C4" s="33">
        <v>38899</v>
      </c>
      <c r="D4" s="34">
        <f>E4/1.1</f>
        <v>0.12618181818181817</v>
      </c>
      <c r="E4" s="35">
        <v>0.1388</v>
      </c>
      <c r="F4" s="35"/>
      <c r="G4" s="35"/>
      <c r="H4" s="36"/>
    </row>
    <row r="5" spans="2:8" ht="9.75" customHeight="1">
      <c r="B5" s="32"/>
      <c r="C5" s="33">
        <v>39264</v>
      </c>
      <c r="D5" s="34">
        <v>0.1405</v>
      </c>
      <c r="E5" s="34">
        <f>D5*1.1</f>
        <v>0.15455000000000002</v>
      </c>
      <c r="F5" s="37">
        <f>E5/E4-1</f>
        <v>0.11347262247838619</v>
      </c>
      <c r="G5" s="35"/>
      <c r="H5" s="36"/>
    </row>
    <row r="6" spans="2:8" ht="9.75" customHeight="1">
      <c r="B6" s="32"/>
      <c r="C6" s="33">
        <v>39630</v>
      </c>
      <c r="D6" s="34">
        <v>0.1481</v>
      </c>
      <c r="E6" s="34">
        <f>D6*1.1</f>
        <v>0.16291000000000003</v>
      </c>
      <c r="F6" s="37">
        <f>E6/E5-1</f>
        <v>0.05409252669039155</v>
      </c>
      <c r="G6" s="35"/>
      <c r="H6" s="36"/>
    </row>
    <row r="7" spans="2:8" ht="9.75" customHeight="1">
      <c r="B7" s="32"/>
      <c r="C7" s="33">
        <v>39995</v>
      </c>
      <c r="D7" s="34">
        <f>E7/1.1</f>
        <v>0.17129999999999998</v>
      </c>
      <c r="E7" s="34">
        <v>0.18843</v>
      </c>
      <c r="F7" s="37">
        <f>E7/E6-1</f>
        <v>0.15665091154625221</v>
      </c>
      <c r="G7" s="35"/>
      <c r="H7" s="36"/>
    </row>
    <row r="8" spans="2:8" ht="9.75" customHeight="1" thickBot="1">
      <c r="B8" s="38"/>
      <c r="C8" s="39"/>
      <c r="D8" s="39"/>
      <c r="E8" s="39"/>
      <c r="F8" s="40">
        <f>AVERAGE(F5:F7)</f>
        <v>0.10807202023834332</v>
      </c>
      <c r="G8" s="39" t="s">
        <v>15</v>
      </c>
      <c r="H8" s="41"/>
    </row>
    <row r="9" spans="2:8" ht="4.5" customHeight="1" thickBot="1">
      <c r="B9" s="35"/>
      <c r="C9" s="35"/>
      <c r="D9" s="35"/>
      <c r="E9" s="35"/>
      <c r="F9" s="42"/>
      <c r="G9" s="35"/>
      <c r="H9" s="35"/>
    </row>
    <row r="10" spans="2:8" ht="9.75" customHeight="1">
      <c r="B10" s="60" t="s">
        <v>42</v>
      </c>
      <c r="C10" s="30"/>
      <c r="D10" s="30"/>
      <c r="E10" s="30"/>
      <c r="F10" s="44"/>
      <c r="G10" s="47" t="s">
        <v>47</v>
      </c>
      <c r="H10" s="48" t="s">
        <v>36</v>
      </c>
    </row>
    <row r="11" spans="2:8" ht="9.75" customHeight="1">
      <c r="B11" s="32" t="s">
        <v>41</v>
      </c>
      <c r="C11" s="35"/>
      <c r="D11" s="35"/>
      <c r="E11" s="35"/>
      <c r="F11" s="42"/>
      <c r="G11" s="35">
        <v>26090</v>
      </c>
      <c r="H11" s="36">
        <f>18*180/1000</f>
        <v>3.24</v>
      </c>
    </row>
    <row r="12" spans="2:8" ht="9.75" customHeight="1">
      <c r="B12" s="32" t="s">
        <v>39</v>
      </c>
      <c r="C12" s="35"/>
      <c r="D12" s="35"/>
      <c r="E12" s="35"/>
      <c r="F12" s="42"/>
      <c r="G12" s="35">
        <v>18490</v>
      </c>
      <c r="H12" s="36">
        <f>12*180/1000</f>
        <v>2.16</v>
      </c>
    </row>
    <row r="13" spans="2:8" ht="9.75" customHeight="1">
      <c r="B13" s="32" t="s">
        <v>40</v>
      </c>
      <c r="C13" s="35"/>
      <c r="D13" s="35"/>
      <c r="E13" s="35"/>
      <c r="F13" s="42"/>
      <c r="G13" s="35">
        <v>14650</v>
      </c>
      <c r="H13" s="36">
        <f>9*180/1000</f>
        <v>1.62</v>
      </c>
    </row>
    <row r="14" spans="2:8" ht="9.75" customHeight="1">
      <c r="B14" s="32" t="s">
        <v>43</v>
      </c>
      <c r="C14" s="35"/>
      <c r="D14" s="35"/>
      <c r="E14" s="35"/>
      <c r="F14" s="42"/>
      <c r="G14" s="43">
        <v>10250</v>
      </c>
      <c r="H14" s="36">
        <f>6*180/1000</f>
        <v>1.08</v>
      </c>
    </row>
    <row r="15" spans="2:8" ht="9.75" customHeight="1">
      <c r="B15" s="32"/>
      <c r="C15" s="35"/>
      <c r="D15" s="35"/>
      <c r="E15" s="35"/>
      <c r="F15" s="42"/>
      <c r="G15" s="35"/>
      <c r="H15" s="36"/>
    </row>
    <row r="16" spans="2:8" ht="9.75" customHeight="1">
      <c r="B16" s="32" t="s">
        <v>25</v>
      </c>
      <c r="C16" s="35"/>
      <c r="D16" s="35"/>
      <c r="E16" s="35"/>
      <c r="F16" s="42"/>
      <c r="G16" s="35"/>
      <c r="H16" s="36"/>
    </row>
    <row r="17" spans="2:8" ht="9.75" customHeight="1">
      <c r="B17" s="32" t="s">
        <v>45</v>
      </c>
      <c r="C17" s="35"/>
      <c r="D17" s="35"/>
      <c r="E17" s="35"/>
      <c r="F17" s="42"/>
      <c r="G17" s="35">
        <v>770</v>
      </c>
      <c r="H17" s="36"/>
    </row>
    <row r="18" spans="2:8" ht="9.75" customHeight="1">
      <c r="B18" s="32" t="s">
        <v>49</v>
      </c>
      <c r="C18" s="35"/>
      <c r="D18" s="35"/>
      <c r="E18" s="35"/>
      <c r="F18" s="42"/>
      <c r="G18" s="35"/>
      <c r="H18" s="36"/>
    </row>
    <row r="19" spans="2:8" ht="9.75" customHeight="1">
      <c r="B19" s="32" t="s">
        <v>24</v>
      </c>
      <c r="C19" s="35"/>
      <c r="D19" s="35"/>
      <c r="E19" s="35"/>
      <c r="F19" s="42"/>
      <c r="G19" s="35"/>
      <c r="H19" s="36"/>
    </row>
    <row r="20" spans="2:8" ht="9.75" customHeight="1">
      <c r="B20" s="45" t="s">
        <v>38</v>
      </c>
      <c r="C20" s="35"/>
      <c r="D20" s="35"/>
      <c r="E20" s="35"/>
      <c r="F20" s="42"/>
      <c r="G20" s="35">
        <v>2750</v>
      </c>
      <c r="H20" s="36"/>
    </row>
    <row r="21" spans="2:8" ht="9.75" customHeight="1" thickBot="1">
      <c r="B21" s="46" t="s">
        <v>44</v>
      </c>
      <c r="C21" s="39"/>
      <c r="D21" s="39"/>
      <c r="E21" s="39"/>
      <c r="F21" s="40"/>
      <c r="G21" s="39">
        <v>1650</v>
      </c>
      <c r="H21" s="41"/>
    </row>
    <row r="22" spans="2:8" ht="13.5" thickBot="1">
      <c r="B22" s="3"/>
      <c r="C22" s="3"/>
      <c r="D22" s="3"/>
      <c r="E22" s="3"/>
      <c r="F22" s="11"/>
      <c r="G22" s="3"/>
      <c r="H22" s="3"/>
    </row>
    <row r="23" spans="2:8" ht="12.75">
      <c r="B23" s="76" t="s">
        <v>57</v>
      </c>
      <c r="C23" s="75"/>
      <c r="D23" s="6"/>
      <c r="E23" s="6"/>
      <c r="F23" s="63"/>
      <c r="G23" s="6"/>
      <c r="H23" s="52"/>
    </row>
    <row r="24" spans="2:8" ht="12.75">
      <c r="B24" s="64" t="s">
        <v>58</v>
      </c>
      <c r="C24" s="12"/>
      <c r="D24" s="12"/>
      <c r="E24" s="3"/>
      <c r="F24" s="3"/>
      <c r="G24" s="3"/>
      <c r="H24" s="65" t="s">
        <v>50</v>
      </c>
    </row>
    <row r="25" spans="2:8" ht="12.75">
      <c r="B25" s="66">
        <f>G11+G17</f>
        <v>26860</v>
      </c>
      <c r="C25" s="67" t="s">
        <v>26</v>
      </c>
      <c r="D25" s="3"/>
      <c r="E25" s="3"/>
      <c r="F25" s="3"/>
      <c r="G25" s="3"/>
      <c r="H25" s="68">
        <f>(-D53+B28+B28)/SUM(D57:AG58)</f>
        <v>0.2660879230792091</v>
      </c>
    </row>
    <row r="26" spans="2:8" ht="12.75">
      <c r="B26" s="69">
        <v>3.24</v>
      </c>
      <c r="C26" s="67" t="s">
        <v>17</v>
      </c>
      <c r="D26" s="3"/>
      <c r="E26" s="3"/>
      <c r="F26" s="3"/>
      <c r="G26" s="3"/>
      <c r="H26" s="65" t="s">
        <v>27</v>
      </c>
    </row>
    <row r="27" spans="2:8" ht="12.75">
      <c r="B27" s="70">
        <v>4.2</v>
      </c>
      <c r="C27" s="3" t="s">
        <v>23</v>
      </c>
      <c r="D27" s="3"/>
      <c r="E27" s="3"/>
      <c r="F27" s="3"/>
      <c r="G27" s="3"/>
      <c r="H27" s="71"/>
    </row>
    <row r="28" spans="2:8" ht="12.75">
      <c r="B28" s="70">
        <f>G20+G17</f>
        <v>3520</v>
      </c>
      <c r="C28" s="3" t="s">
        <v>22</v>
      </c>
      <c r="D28" s="3"/>
      <c r="E28" s="3"/>
      <c r="F28" s="3"/>
      <c r="G28" s="3"/>
      <c r="H28" s="65" t="s">
        <v>60</v>
      </c>
    </row>
    <row r="29" spans="2:8" ht="12.75">
      <c r="B29" s="72">
        <v>0</v>
      </c>
      <c r="C29" s="3" t="s">
        <v>7</v>
      </c>
      <c r="D29" s="3"/>
      <c r="E29" s="73">
        <f>B29*B25</f>
        <v>0</v>
      </c>
      <c r="F29" s="3"/>
      <c r="G29" s="3"/>
      <c r="H29" s="68">
        <f>SUM(D62:AG62)/SUM(D57:AG58)</f>
        <v>0.2911814083200426</v>
      </c>
    </row>
    <row r="30" spans="2:8" ht="12.75">
      <c r="B30" s="72">
        <v>0</v>
      </c>
      <c r="C30" s="3" t="s">
        <v>8</v>
      </c>
      <c r="D30" s="3"/>
      <c r="E30" s="3"/>
      <c r="F30" s="3"/>
      <c r="G30" s="3"/>
      <c r="H30" s="65" t="s">
        <v>27</v>
      </c>
    </row>
    <row r="31" spans="2:8" ht="12.75">
      <c r="B31" s="72">
        <v>0.01</v>
      </c>
      <c r="C31" s="3" t="s">
        <v>9</v>
      </c>
      <c r="D31" s="3"/>
      <c r="E31" s="3"/>
      <c r="F31" s="3"/>
      <c r="G31" s="3"/>
      <c r="H31" s="71"/>
    </row>
    <row r="32" spans="2:8" ht="13.5" thickBot="1">
      <c r="B32" s="53">
        <v>0.03</v>
      </c>
      <c r="C32" s="7" t="s">
        <v>16</v>
      </c>
      <c r="D32" s="7"/>
      <c r="E32" s="7"/>
      <c r="F32" s="7"/>
      <c r="G32" s="7"/>
      <c r="H32" s="74"/>
    </row>
    <row r="33" ht="13.5" thickBot="1"/>
    <row r="34" spans="2:8" ht="13.5" thickBot="1">
      <c r="B34" s="55"/>
      <c r="C34" s="61" t="s">
        <v>54</v>
      </c>
      <c r="D34" s="6"/>
      <c r="E34" s="6"/>
      <c r="F34" s="6"/>
      <c r="G34" s="6"/>
      <c r="H34" s="56" t="s">
        <v>46</v>
      </c>
    </row>
    <row r="35" spans="2:8" ht="12.75">
      <c r="B35" s="9">
        <v>0.44</v>
      </c>
      <c r="C35" s="6" t="s">
        <v>12</v>
      </c>
      <c r="D35" s="6"/>
      <c r="E35" s="16" t="s">
        <v>13</v>
      </c>
      <c r="F35" s="17"/>
      <c r="G35" s="17"/>
      <c r="H35" s="49">
        <f>SUM(D59:AG59)/SUM(D54:AG54)</f>
        <v>0</v>
      </c>
    </row>
    <row r="36" spans="1:8" ht="12.75" customHeight="1" thickBot="1">
      <c r="A36" s="28" t="s">
        <v>37</v>
      </c>
      <c r="B36" s="10">
        <v>0</v>
      </c>
      <c r="C36" s="7" t="s">
        <v>48</v>
      </c>
      <c r="D36" s="7"/>
      <c r="E36" s="18" t="s">
        <v>14</v>
      </c>
      <c r="F36" s="19"/>
      <c r="G36" s="19"/>
      <c r="H36" s="24" t="s">
        <v>27</v>
      </c>
    </row>
    <row r="37" spans="1:8" ht="12.75" customHeight="1">
      <c r="A37" s="28" t="s">
        <v>37</v>
      </c>
      <c r="B37" s="9">
        <v>0</v>
      </c>
      <c r="C37" s="13" t="s">
        <v>19</v>
      </c>
      <c r="D37" s="6"/>
      <c r="E37" s="21" t="s">
        <v>59</v>
      </c>
      <c r="F37" s="17"/>
      <c r="G37" s="17"/>
      <c r="H37" s="50">
        <f>B39/SUM(D54:AG54)</f>
        <v>0</v>
      </c>
    </row>
    <row r="38" spans="1:8" ht="12.75">
      <c r="A38" s="29"/>
      <c r="B38" s="26">
        <f>TRUNC(B26*1.382*15)</f>
        <v>67</v>
      </c>
      <c r="C38" s="13" t="s">
        <v>56</v>
      </c>
      <c r="D38" s="3"/>
      <c r="E38" s="21" t="s">
        <v>20</v>
      </c>
      <c r="F38" s="22"/>
      <c r="G38" s="22"/>
      <c r="H38" s="25" t="s">
        <v>27</v>
      </c>
    </row>
    <row r="39" spans="1:8" ht="13.5" thickBot="1">
      <c r="A39" s="29"/>
      <c r="B39" s="8">
        <f>IF(B37&gt;0,(8000+B38*B37),0)</f>
        <v>0</v>
      </c>
      <c r="C39" s="15" t="s">
        <v>35</v>
      </c>
      <c r="D39" s="7"/>
      <c r="E39" s="18" t="s">
        <v>14</v>
      </c>
      <c r="F39" s="19"/>
      <c r="G39" s="19"/>
      <c r="H39" s="24"/>
    </row>
    <row r="40" spans="1:8" ht="13.5" customHeight="1">
      <c r="A40" s="28" t="s">
        <v>37</v>
      </c>
      <c r="B40" s="27">
        <v>0</v>
      </c>
      <c r="C40" s="13" t="s">
        <v>19</v>
      </c>
      <c r="D40" s="3"/>
      <c r="E40" s="21" t="s">
        <v>34</v>
      </c>
      <c r="F40" s="22"/>
      <c r="G40" s="22"/>
      <c r="H40" s="51">
        <f>B42/SUM(D54:AG54)</f>
        <v>0</v>
      </c>
    </row>
    <row r="41" spans="2:8" ht="12.75">
      <c r="B41" s="14">
        <f>TRUNC(B26*1.382*15)</f>
        <v>67</v>
      </c>
      <c r="C41" s="13" t="s">
        <v>56</v>
      </c>
      <c r="D41" s="3"/>
      <c r="E41" s="21" t="s">
        <v>20</v>
      </c>
      <c r="F41" s="22"/>
      <c r="G41" s="22"/>
      <c r="H41" s="25" t="s">
        <v>27</v>
      </c>
    </row>
    <row r="42" spans="2:8" ht="13.5" thickBot="1">
      <c r="B42" s="8">
        <f>IF(B41&gt;30,31*5*B40+(B41-31)*B40,B41*5*B40)</f>
        <v>0</v>
      </c>
      <c r="C42" s="15" t="s">
        <v>21</v>
      </c>
      <c r="D42" s="7"/>
      <c r="E42" s="18" t="s">
        <v>14</v>
      </c>
      <c r="F42" s="19"/>
      <c r="G42" s="19"/>
      <c r="H42" s="20"/>
    </row>
    <row r="43" ht="13.5" thickBot="1"/>
    <row r="44" spans="2:8" ht="13.5" thickBot="1">
      <c r="B44" s="57"/>
      <c r="C44" s="62" t="s">
        <v>55</v>
      </c>
      <c r="D44" s="58"/>
      <c r="E44" s="58"/>
      <c r="F44" s="58"/>
      <c r="G44" s="58"/>
      <c r="H44" s="59"/>
    </row>
    <row r="45" spans="1:8" ht="13.5" thickBot="1">
      <c r="A45" s="28" t="s">
        <v>37</v>
      </c>
      <c r="B45" s="53">
        <v>0</v>
      </c>
      <c r="C45" s="7" t="s">
        <v>53</v>
      </c>
      <c r="D45" s="7"/>
      <c r="E45" s="7"/>
      <c r="F45" s="7"/>
      <c r="G45" s="7"/>
      <c r="H45" s="54"/>
    </row>
    <row r="50" spans="4:24" ht="12.75">
      <c r="D50" t="s">
        <v>2</v>
      </c>
      <c r="N50" t="s">
        <v>51</v>
      </c>
      <c r="X50" t="s">
        <v>52</v>
      </c>
    </row>
    <row r="51" spans="4:33" ht="12.75">
      <c r="D51">
        <v>2009</v>
      </c>
      <c r="E51">
        <v>2010</v>
      </c>
      <c r="F51">
        <v>2011</v>
      </c>
      <c r="G51">
        <v>2012</v>
      </c>
      <c r="H51">
        <v>2013</v>
      </c>
      <c r="I51">
        <v>2014</v>
      </c>
      <c r="J51">
        <v>2015</v>
      </c>
      <c r="K51">
        <v>2016</v>
      </c>
      <c r="L51">
        <v>2017</v>
      </c>
      <c r="M51">
        <v>2018</v>
      </c>
      <c r="N51">
        <v>2019</v>
      </c>
      <c r="O51">
        <v>2020</v>
      </c>
      <c r="P51">
        <v>2021</v>
      </c>
      <c r="Q51">
        <v>2022</v>
      </c>
      <c r="R51">
        <v>2023</v>
      </c>
      <c r="S51">
        <v>2024</v>
      </c>
      <c r="T51">
        <v>2025</v>
      </c>
      <c r="U51">
        <v>2026</v>
      </c>
      <c r="V51">
        <v>2027</v>
      </c>
      <c r="W51">
        <v>2028</v>
      </c>
      <c r="X51">
        <v>2029</v>
      </c>
      <c r="Y51">
        <v>2030</v>
      </c>
      <c r="Z51">
        <v>2031</v>
      </c>
      <c r="AA51">
        <v>2032</v>
      </c>
      <c r="AB51">
        <v>2033</v>
      </c>
      <c r="AC51">
        <v>2034</v>
      </c>
      <c r="AD51">
        <v>2035</v>
      </c>
      <c r="AE51">
        <v>2036</v>
      </c>
      <c r="AF51">
        <v>2037</v>
      </c>
      <c r="AG51">
        <v>2038</v>
      </c>
    </row>
    <row r="52" spans="4:33" ht="12.75">
      <c r="D52">
        <v>1</v>
      </c>
      <c r="E52">
        <v>2</v>
      </c>
      <c r="F52">
        <v>3</v>
      </c>
      <c r="G52">
        <v>4</v>
      </c>
      <c r="H52">
        <v>5</v>
      </c>
      <c r="I52">
        <v>6</v>
      </c>
      <c r="J52">
        <v>7</v>
      </c>
      <c r="K52">
        <v>8</v>
      </c>
      <c r="L52">
        <v>9</v>
      </c>
      <c r="M52">
        <v>10</v>
      </c>
      <c r="N52">
        <v>11</v>
      </c>
      <c r="O52">
        <v>12</v>
      </c>
      <c r="P52">
        <v>13</v>
      </c>
      <c r="Q52">
        <v>14</v>
      </c>
      <c r="R52">
        <v>15</v>
      </c>
      <c r="S52">
        <v>16</v>
      </c>
      <c r="T52">
        <v>17</v>
      </c>
      <c r="U52">
        <v>18</v>
      </c>
      <c r="V52">
        <v>19</v>
      </c>
      <c r="W52">
        <v>20</v>
      </c>
      <c r="X52">
        <v>21</v>
      </c>
      <c r="Y52">
        <v>22</v>
      </c>
      <c r="Z52">
        <v>23</v>
      </c>
      <c r="AA52">
        <v>24</v>
      </c>
      <c r="AB52">
        <v>25</v>
      </c>
      <c r="AC52">
        <v>26</v>
      </c>
      <c r="AD52">
        <v>27</v>
      </c>
      <c r="AE52">
        <v>28</v>
      </c>
      <c r="AF52">
        <v>29</v>
      </c>
      <c r="AG52">
        <v>30</v>
      </c>
    </row>
    <row r="53" spans="3:33" ht="12.75">
      <c r="C53" t="s">
        <v>0</v>
      </c>
      <c r="D53" s="5">
        <f>-B25*(1-B29)+B39+B42</f>
        <v>-26860</v>
      </c>
      <c r="E53" s="5">
        <f aca="true" t="shared" si="0" ref="E53:M53">IF(D56&lt;0,D53+D56+D62,D53+D62)</f>
        <v>-25924.0832644</v>
      </c>
      <c r="F53" s="5">
        <f t="shared" si="0"/>
        <v>-24969.72896910868</v>
      </c>
      <c r="G53" s="5">
        <f t="shared" si="0"/>
        <v>-23996.6731856066</v>
      </c>
      <c r="H53" s="5">
        <f t="shared" si="0"/>
        <v>-23004.65274346688</v>
      </c>
      <c r="I53" s="5">
        <f t="shared" si="0"/>
        <v>-21993.40551337641</v>
      </c>
      <c r="J53" s="5">
        <f t="shared" si="0"/>
        <v>-20962.67070645607</v>
      </c>
      <c r="K53" s="5">
        <f t="shared" si="0"/>
        <v>-19912.18919060315</v>
      </c>
      <c r="L53" s="5">
        <f t="shared" si="0"/>
        <v>-18841.703824607925</v>
      </c>
      <c r="M53" s="5">
        <f t="shared" si="0"/>
        <v>-17750.959810826123</v>
      </c>
      <c r="N53" s="5">
        <f>IF(M56&lt;0,M53+M56+M62,M53+M62)-B28</f>
        <v>-20159.705067219948</v>
      </c>
      <c r="O53" s="5">
        <f aca="true" t="shared" si="1" ref="O53:AG53">IF(N56&lt;0,N53+N56+N62,N53+N62)</f>
        <v>-19027.69061961234</v>
      </c>
      <c r="P53" s="5">
        <f t="shared" si="1"/>
        <v>-17874.671015032454</v>
      </c>
      <c r="Q53" s="5">
        <f t="shared" si="1"/>
        <v>-16700.404757064807</v>
      </c>
      <c r="R53" s="5">
        <f t="shared" si="1"/>
        <v>-15504.654764150251</v>
      </c>
      <c r="S53" s="5">
        <f t="shared" si="1"/>
        <v>-14287.188851824143</v>
      </c>
      <c r="T53" s="5">
        <f t="shared" si="1"/>
        <v>-13047.780239915413</v>
      </c>
      <c r="U53" s="5">
        <f t="shared" si="1"/>
        <v>-11786.208085770199</v>
      </c>
      <c r="V53" s="5">
        <f t="shared" si="1"/>
        <v>-10502.258044605027</v>
      </c>
      <c r="W53" s="5">
        <f t="shared" si="1"/>
        <v>-9195.722858137431</v>
      </c>
      <c r="X53" s="5">
        <f>IF(W56&lt;0,W53+W56+W62,W53+W62)-B28</f>
        <v>-11386.402972686315</v>
      </c>
      <c r="Y53" s="5">
        <f t="shared" si="1"/>
        <v>-10034.107187980488</v>
      </c>
      <c r="Z53" s="5">
        <f t="shared" si="1"/>
        <v>-8658.653337961574</v>
      </c>
      <c r="AA53" s="5">
        <f t="shared" si="1"/>
        <v>-7259.869004917022</v>
      </c>
      <c r="AB53" s="5">
        <f t="shared" si="1"/>
        <v>-5837.5922683303115</v>
      </c>
      <c r="AC53" s="5">
        <f t="shared" si="1"/>
        <v>-4391.672489888653</v>
      </c>
      <c r="AD53" s="5">
        <f t="shared" si="1"/>
        <v>-2921.971136143678</v>
      </c>
      <c r="AE53" s="5">
        <f t="shared" si="1"/>
        <v>-1428.3626403777844</v>
      </c>
      <c r="AF53" s="5">
        <f t="shared" si="1"/>
        <v>89.26469471191217</v>
      </c>
      <c r="AG53" s="5">
        <f t="shared" si="1"/>
        <v>1631.0077518386506</v>
      </c>
    </row>
    <row r="54" spans="3:33" ht="12.75">
      <c r="C54" t="s">
        <v>3</v>
      </c>
      <c r="D54" s="2">
        <f>B26*B27*365</f>
        <v>4966.920000000001</v>
      </c>
      <c r="E54" s="2">
        <f aca="true" t="shared" si="2" ref="E54:AG54">D54-$B31*$D54</f>
        <v>4917.250800000001</v>
      </c>
      <c r="F54" s="2">
        <f t="shared" si="2"/>
        <v>4867.5816</v>
      </c>
      <c r="G54" s="2">
        <f t="shared" si="2"/>
        <v>4817.9124</v>
      </c>
      <c r="H54" s="2">
        <f t="shared" si="2"/>
        <v>4768.2432</v>
      </c>
      <c r="I54" s="2">
        <f t="shared" si="2"/>
        <v>4718.574</v>
      </c>
      <c r="J54" s="2">
        <f t="shared" si="2"/>
        <v>4668.904799999999</v>
      </c>
      <c r="K54" s="2">
        <f t="shared" si="2"/>
        <v>4619.235599999999</v>
      </c>
      <c r="L54" s="2">
        <f t="shared" si="2"/>
        <v>4569.566399999999</v>
      </c>
      <c r="M54" s="2">
        <f t="shared" si="2"/>
        <v>4519.8971999999985</v>
      </c>
      <c r="N54" s="2">
        <f t="shared" si="2"/>
        <v>4470.227999999998</v>
      </c>
      <c r="O54" s="2">
        <f t="shared" si="2"/>
        <v>4420.558799999998</v>
      </c>
      <c r="P54" s="2">
        <f t="shared" si="2"/>
        <v>4370.889599999998</v>
      </c>
      <c r="Q54" s="2">
        <f t="shared" si="2"/>
        <v>4321.220399999997</v>
      </c>
      <c r="R54" s="2">
        <f t="shared" si="2"/>
        <v>4271.551199999997</v>
      </c>
      <c r="S54" s="2">
        <f t="shared" si="2"/>
        <v>4221.881999999997</v>
      </c>
      <c r="T54" s="2">
        <f t="shared" si="2"/>
        <v>4172.212799999997</v>
      </c>
      <c r="U54" s="2">
        <f t="shared" si="2"/>
        <v>4122.543599999996</v>
      </c>
      <c r="V54" s="2">
        <f t="shared" si="2"/>
        <v>4072.8743999999965</v>
      </c>
      <c r="W54" s="2">
        <f t="shared" si="2"/>
        <v>4023.2051999999967</v>
      </c>
      <c r="X54" s="2">
        <f t="shared" si="2"/>
        <v>3973.535999999997</v>
      </c>
      <c r="Y54" s="2">
        <f t="shared" si="2"/>
        <v>3923.866799999997</v>
      </c>
      <c r="Z54" s="2">
        <f t="shared" si="2"/>
        <v>3874.1975999999972</v>
      </c>
      <c r="AA54" s="2">
        <f t="shared" si="2"/>
        <v>3824.5283999999974</v>
      </c>
      <c r="AB54" s="2">
        <f t="shared" si="2"/>
        <v>3774.8591999999976</v>
      </c>
      <c r="AC54" s="2">
        <f t="shared" si="2"/>
        <v>3725.189999999998</v>
      </c>
      <c r="AD54" s="2">
        <f t="shared" si="2"/>
        <v>3675.520799999998</v>
      </c>
      <c r="AE54" s="2">
        <f t="shared" si="2"/>
        <v>3625.851599999998</v>
      </c>
      <c r="AF54" s="2">
        <f t="shared" si="2"/>
        <v>3576.1823999999983</v>
      </c>
      <c r="AG54" s="2">
        <f t="shared" si="2"/>
        <v>3526.5131999999985</v>
      </c>
    </row>
    <row r="55" spans="3:33" ht="12.75">
      <c r="C55" t="s">
        <v>1</v>
      </c>
      <c r="D55" s="4">
        <f>E7*(1+B30)</f>
        <v>0.18843</v>
      </c>
      <c r="E55" s="4">
        <f aca="true" t="shared" si="3" ref="E55:AG55">D55*(1+$B32)</f>
        <v>0.1940829</v>
      </c>
      <c r="F55" s="4">
        <f t="shared" si="3"/>
        <v>0.19990538700000002</v>
      </c>
      <c r="G55" s="4">
        <f t="shared" si="3"/>
        <v>0.20590254861</v>
      </c>
      <c r="H55" s="4">
        <f t="shared" si="3"/>
        <v>0.21207962506830003</v>
      </c>
      <c r="I55" s="4">
        <f t="shared" si="3"/>
        <v>0.21844201382034903</v>
      </c>
      <c r="J55" s="4">
        <f t="shared" si="3"/>
        <v>0.22499527423495952</v>
      </c>
      <c r="K55" s="4">
        <f t="shared" si="3"/>
        <v>0.2317451324620083</v>
      </c>
      <c r="L55" s="4">
        <f t="shared" si="3"/>
        <v>0.23869748643586858</v>
      </c>
      <c r="M55" s="4">
        <f t="shared" si="3"/>
        <v>0.24585841102894465</v>
      </c>
      <c r="N55" s="4">
        <f t="shared" si="3"/>
        <v>0.253234163359813</v>
      </c>
      <c r="O55" s="4">
        <f t="shared" si="3"/>
        <v>0.2608311882606074</v>
      </c>
      <c r="P55" s="4">
        <f t="shared" si="3"/>
        <v>0.26865612390842564</v>
      </c>
      <c r="Q55" s="4">
        <f t="shared" si="3"/>
        <v>0.27671580762567843</v>
      </c>
      <c r="R55" s="4">
        <f t="shared" si="3"/>
        <v>0.2850172818544488</v>
      </c>
      <c r="S55" s="4">
        <f t="shared" si="3"/>
        <v>0.2935678003100823</v>
      </c>
      <c r="T55" s="4">
        <f t="shared" si="3"/>
        <v>0.3023748343193848</v>
      </c>
      <c r="U55" s="4">
        <f t="shared" si="3"/>
        <v>0.31144607934896634</v>
      </c>
      <c r="V55" s="4">
        <f t="shared" si="3"/>
        <v>0.32078946172943534</v>
      </c>
      <c r="W55" s="4">
        <f t="shared" si="3"/>
        <v>0.3304131455813184</v>
      </c>
      <c r="X55" s="4">
        <f t="shared" si="3"/>
        <v>0.34032553994875797</v>
      </c>
      <c r="Y55" s="4">
        <f t="shared" si="3"/>
        <v>0.3505353061472207</v>
      </c>
      <c r="Z55" s="4">
        <f t="shared" si="3"/>
        <v>0.36105136533163734</v>
      </c>
      <c r="AA55" s="4">
        <f t="shared" si="3"/>
        <v>0.3718829062915865</v>
      </c>
      <c r="AB55" s="4">
        <f t="shared" si="3"/>
        <v>0.3830393934803341</v>
      </c>
      <c r="AC55" s="4">
        <f t="shared" si="3"/>
        <v>0.39453057528474417</v>
      </c>
      <c r="AD55" s="4">
        <f t="shared" si="3"/>
        <v>0.4063664925432865</v>
      </c>
      <c r="AE55" s="4">
        <f t="shared" si="3"/>
        <v>0.4185574873195851</v>
      </c>
      <c r="AF55" s="4">
        <f t="shared" si="3"/>
        <v>0.43111421193917265</v>
      </c>
      <c r="AG55" s="4">
        <f t="shared" si="3"/>
        <v>0.44404763829734784</v>
      </c>
    </row>
    <row r="56" spans="3:33" ht="12.75">
      <c r="C56" t="s">
        <v>4</v>
      </c>
      <c r="D56" s="5">
        <f aca="true" t="shared" si="4" ref="D56:AG56">$B45*D53</f>
        <v>0</v>
      </c>
      <c r="E56" s="5">
        <f t="shared" si="4"/>
        <v>0</v>
      </c>
      <c r="F56" s="5">
        <f t="shared" si="4"/>
        <v>0</v>
      </c>
      <c r="G56" s="5">
        <f t="shared" si="4"/>
        <v>0</v>
      </c>
      <c r="H56" s="5">
        <f t="shared" si="4"/>
        <v>0</v>
      </c>
      <c r="I56" s="5">
        <f t="shared" si="4"/>
        <v>0</v>
      </c>
      <c r="J56" s="5">
        <f t="shared" si="4"/>
        <v>0</v>
      </c>
      <c r="K56" s="5">
        <f t="shared" si="4"/>
        <v>0</v>
      </c>
      <c r="L56" s="5">
        <f t="shared" si="4"/>
        <v>0</v>
      </c>
      <c r="M56" s="5">
        <f t="shared" si="4"/>
        <v>0</v>
      </c>
      <c r="N56" s="5">
        <f t="shared" si="4"/>
        <v>0</v>
      </c>
      <c r="O56" s="5">
        <f t="shared" si="4"/>
        <v>0</v>
      </c>
      <c r="P56" s="5">
        <f t="shared" si="4"/>
        <v>0</v>
      </c>
      <c r="Q56" s="5">
        <f t="shared" si="4"/>
        <v>0</v>
      </c>
      <c r="R56" s="5">
        <f t="shared" si="4"/>
        <v>0</v>
      </c>
      <c r="S56" s="5">
        <f t="shared" si="4"/>
        <v>0</v>
      </c>
      <c r="T56" s="5">
        <f t="shared" si="4"/>
        <v>0</v>
      </c>
      <c r="U56" s="5">
        <f t="shared" si="4"/>
        <v>0</v>
      </c>
      <c r="V56" s="5">
        <f t="shared" si="4"/>
        <v>0</v>
      </c>
      <c r="W56" s="5">
        <f t="shared" si="4"/>
        <v>0</v>
      </c>
      <c r="X56" s="5">
        <f t="shared" si="4"/>
        <v>0</v>
      </c>
      <c r="Y56" s="5">
        <f t="shared" si="4"/>
        <v>0</v>
      </c>
      <c r="Z56" s="5">
        <f t="shared" si="4"/>
        <v>0</v>
      </c>
      <c r="AA56" s="5">
        <f t="shared" si="4"/>
        <v>0</v>
      </c>
      <c r="AB56" s="5">
        <f t="shared" si="4"/>
        <v>0</v>
      </c>
      <c r="AC56" s="5">
        <f t="shared" si="4"/>
        <v>0</v>
      </c>
      <c r="AD56" s="5">
        <f t="shared" si="4"/>
        <v>0</v>
      </c>
      <c r="AE56" s="5">
        <f t="shared" si="4"/>
        <v>0</v>
      </c>
      <c r="AF56" s="5">
        <f t="shared" si="4"/>
        <v>0</v>
      </c>
      <c r="AG56" s="5">
        <f t="shared" si="4"/>
        <v>0</v>
      </c>
    </row>
    <row r="57" spans="3:33" ht="12.75">
      <c r="C57" t="s">
        <v>31</v>
      </c>
      <c r="D57" s="23">
        <f aca="true" t="shared" si="5" ref="D57:AG57">(1-$B36)*D54</f>
        <v>4966.920000000001</v>
      </c>
      <c r="E57" s="23">
        <f t="shared" si="5"/>
        <v>4917.250800000001</v>
      </c>
      <c r="F57" s="23">
        <f t="shared" si="5"/>
        <v>4867.5816</v>
      </c>
      <c r="G57" s="23">
        <f t="shared" si="5"/>
        <v>4817.9124</v>
      </c>
      <c r="H57" s="23">
        <f t="shared" si="5"/>
        <v>4768.2432</v>
      </c>
      <c r="I57" s="23">
        <f t="shared" si="5"/>
        <v>4718.574</v>
      </c>
      <c r="J57" s="23">
        <f t="shared" si="5"/>
        <v>4668.904799999999</v>
      </c>
      <c r="K57" s="23">
        <f t="shared" si="5"/>
        <v>4619.235599999999</v>
      </c>
      <c r="L57" s="23">
        <f t="shared" si="5"/>
        <v>4569.566399999999</v>
      </c>
      <c r="M57" s="23">
        <f t="shared" si="5"/>
        <v>4519.8971999999985</v>
      </c>
      <c r="N57" s="23">
        <f t="shared" si="5"/>
        <v>4470.227999999998</v>
      </c>
      <c r="O57" s="23">
        <f t="shared" si="5"/>
        <v>4420.558799999998</v>
      </c>
      <c r="P57" s="23">
        <f t="shared" si="5"/>
        <v>4370.889599999998</v>
      </c>
      <c r="Q57" s="23">
        <f t="shared" si="5"/>
        <v>4321.220399999997</v>
      </c>
      <c r="R57" s="23">
        <f t="shared" si="5"/>
        <v>4271.551199999997</v>
      </c>
      <c r="S57" s="23">
        <f t="shared" si="5"/>
        <v>4221.881999999997</v>
      </c>
      <c r="T57" s="23">
        <f t="shared" si="5"/>
        <v>4172.212799999997</v>
      </c>
      <c r="U57" s="23">
        <f t="shared" si="5"/>
        <v>4122.543599999996</v>
      </c>
      <c r="V57" s="23">
        <f t="shared" si="5"/>
        <v>4072.8743999999965</v>
      </c>
      <c r="W57" s="23">
        <f t="shared" si="5"/>
        <v>4023.2051999999967</v>
      </c>
      <c r="X57" s="23">
        <f t="shared" si="5"/>
        <v>3973.535999999997</v>
      </c>
      <c r="Y57" s="23">
        <f t="shared" si="5"/>
        <v>3923.866799999997</v>
      </c>
      <c r="Z57" s="23">
        <f t="shared" si="5"/>
        <v>3874.1975999999972</v>
      </c>
      <c r="AA57" s="23">
        <f t="shared" si="5"/>
        <v>3824.5283999999974</v>
      </c>
      <c r="AB57" s="23">
        <f t="shared" si="5"/>
        <v>3774.8591999999976</v>
      </c>
      <c r="AC57" s="23">
        <f t="shared" si="5"/>
        <v>3725.189999999998</v>
      </c>
      <c r="AD57" s="23">
        <f t="shared" si="5"/>
        <v>3675.520799999998</v>
      </c>
      <c r="AE57" s="23">
        <f t="shared" si="5"/>
        <v>3625.851599999998</v>
      </c>
      <c r="AF57" s="23">
        <f t="shared" si="5"/>
        <v>3576.1823999999983</v>
      </c>
      <c r="AG57" s="23">
        <f t="shared" si="5"/>
        <v>3526.5131999999985</v>
      </c>
    </row>
    <row r="58" spans="3:33" ht="12.75">
      <c r="C58" t="s">
        <v>32</v>
      </c>
      <c r="D58" s="23">
        <f aca="true" t="shared" si="6" ref="D58:AG58">$B36*D54</f>
        <v>0</v>
      </c>
      <c r="E58" s="23">
        <f t="shared" si="6"/>
        <v>0</v>
      </c>
      <c r="F58" s="23">
        <f t="shared" si="6"/>
        <v>0</v>
      </c>
      <c r="G58" s="23">
        <f t="shared" si="6"/>
        <v>0</v>
      </c>
      <c r="H58" s="23">
        <f t="shared" si="6"/>
        <v>0</v>
      </c>
      <c r="I58" s="23">
        <f t="shared" si="6"/>
        <v>0</v>
      </c>
      <c r="J58" s="23">
        <f t="shared" si="6"/>
        <v>0</v>
      </c>
      <c r="K58" s="23">
        <f t="shared" si="6"/>
        <v>0</v>
      </c>
      <c r="L58" s="23">
        <f t="shared" si="6"/>
        <v>0</v>
      </c>
      <c r="M58" s="23">
        <f t="shared" si="6"/>
        <v>0</v>
      </c>
      <c r="N58" s="23">
        <f t="shared" si="6"/>
        <v>0</v>
      </c>
      <c r="O58" s="23">
        <f t="shared" si="6"/>
        <v>0</v>
      </c>
      <c r="P58" s="23">
        <f t="shared" si="6"/>
        <v>0</v>
      </c>
      <c r="Q58" s="23">
        <f t="shared" si="6"/>
        <v>0</v>
      </c>
      <c r="R58" s="23">
        <f t="shared" si="6"/>
        <v>0</v>
      </c>
      <c r="S58" s="23">
        <f t="shared" si="6"/>
        <v>0</v>
      </c>
      <c r="T58" s="23">
        <f t="shared" si="6"/>
        <v>0</v>
      </c>
      <c r="U58" s="23">
        <f t="shared" si="6"/>
        <v>0</v>
      </c>
      <c r="V58" s="23">
        <f t="shared" si="6"/>
        <v>0</v>
      </c>
      <c r="W58" s="23">
        <f t="shared" si="6"/>
        <v>0</v>
      </c>
      <c r="X58" s="23">
        <f t="shared" si="6"/>
        <v>0</v>
      </c>
      <c r="Y58" s="23">
        <f t="shared" si="6"/>
        <v>0</v>
      </c>
      <c r="Z58" s="23">
        <f t="shared" si="6"/>
        <v>0</v>
      </c>
      <c r="AA58" s="23">
        <f t="shared" si="6"/>
        <v>0</v>
      </c>
      <c r="AB58" s="23">
        <f t="shared" si="6"/>
        <v>0</v>
      </c>
      <c r="AC58" s="23">
        <f t="shared" si="6"/>
        <v>0</v>
      </c>
      <c r="AD58" s="23">
        <f t="shared" si="6"/>
        <v>0</v>
      </c>
      <c r="AE58" s="23">
        <f t="shared" si="6"/>
        <v>0</v>
      </c>
      <c r="AF58" s="23">
        <f t="shared" si="6"/>
        <v>0</v>
      </c>
      <c r="AG58" s="23">
        <f t="shared" si="6"/>
        <v>0</v>
      </c>
    </row>
    <row r="59" spans="3:33" ht="12.75">
      <c r="C59" t="s">
        <v>33</v>
      </c>
      <c r="D59" s="5">
        <f aca="true" t="shared" si="7" ref="D59:W59">D58*($B35-D55)</f>
        <v>0</v>
      </c>
      <c r="E59" s="5">
        <f t="shared" si="7"/>
        <v>0</v>
      </c>
      <c r="F59" s="5">
        <f t="shared" si="7"/>
        <v>0</v>
      </c>
      <c r="G59" s="5">
        <f t="shared" si="7"/>
        <v>0</v>
      </c>
      <c r="H59" s="5">
        <f t="shared" si="7"/>
        <v>0</v>
      </c>
      <c r="I59" s="5">
        <f t="shared" si="7"/>
        <v>0</v>
      </c>
      <c r="J59" s="5">
        <f t="shared" si="7"/>
        <v>0</v>
      </c>
      <c r="K59" s="5">
        <f t="shared" si="7"/>
        <v>0</v>
      </c>
      <c r="L59" s="5">
        <f t="shared" si="7"/>
        <v>0</v>
      </c>
      <c r="M59" s="5">
        <f t="shared" si="7"/>
        <v>0</v>
      </c>
      <c r="N59" s="5">
        <f t="shared" si="7"/>
        <v>0</v>
      </c>
      <c r="O59" s="5">
        <f t="shared" si="7"/>
        <v>0</v>
      </c>
      <c r="P59" s="5">
        <f t="shared" si="7"/>
        <v>0</v>
      </c>
      <c r="Q59" s="5">
        <f t="shared" si="7"/>
        <v>0</v>
      </c>
      <c r="R59" s="5">
        <f t="shared" si="7"/>
        <v>0</v>
      </c>
      <c r="S59" s="5">
        <f t="shared" si="7"/>
        <v>0</v>
      </c>
      <c r="T59" s="5">
        <f t="shared" si="7"/>
        <v>0</v>
      </c>
      <c r="U59" s="5">
        <f t="shared" si="7"/>
        <v>0</v>
      </c>
      <c r="V59" s="5">
        <f t="shared" si="7"/>
        <v>0</v>
      </c>
      <c r="W59" s="5">
        <f t="shared" si="7"/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</row>
    <row r="60" spans="3:33" ht="12.75">
      <c r="C60" t="s">
        <v>30</v>
      </c>
      <c r="D60" s="5">
        <f aca="true" t="shared" si="8" ref="D60:W60">D57*D55</f>
        <v>935.9167356000002</v>
      </c>
      <c r="E60" s="5">
        <f t="shared" si="8"/>
        <v>954.3542952913201</v>
      </c>
      <c r="F60" s="5">
        <f t="shared" si="8"/>
        <v>973.0557835020794</v>
      </c>
      <c r="G60" s="5">
        <f t="shared" si="8"/>
        <v>992.0204421397218</v>
      </c>
      <c r="H60" s="5">
        <f t="shared" si="8"/>
        <v>1011.2472300904711</v>
      </c>
      <c r="I60" s="5">
        <f t="shared" si="8"/>
        <v>1030.7348069203395</v>
      </c>
      <c r="J60" s="5">
        <f t="shared" si="8"/>
        <v>1050.4815158529186</v>
      </c>
      <c r="K60" s="5">
        <f t="shared" si="8"/>
        <v>1070.4853659952241</v>
      </c>
      <c r="L60" s="5">
        <f t="shared" si="8"/>
        <v>1090.7440137818005</v>
      </c>
      <c r="M60" s="5">
        <f t="shared" si="8"/>
        <v>1111.2547436061757</v>
      </c>
      <c r="N60" s="5">
        <f t="shared" si="8"/>
        <v>1132.0144476076098</v>
      </c>
      <c r="O60" s="5">
        <f t="shared" si="8"/>
        <v>1153.0196045798843</v>
      </c>
      <c r="P60" s="5">
        <f t="shared" si="8"/>
        <v>1174.2662579676482</v>
      </c>
      <c r="Q60" s="5">
        <f t="shared" si="8"/>
        <v>1195.7499929145565</v>
      </c>
      <c r="R60" s="5">
        <f t="shared" si="8"/>
        <v>1217.465912326108</v>
      </c>
      <c r="S60" s="5">
        <f t="shared" si="8"/>
        <v>1239.4086119087299</v>
      </c>
      <c r="T60" s="5">
        <f t="shared" si="8"/>
        <v>1261.5721541452153</v>
      </c>
      <c r="U60" s="5">
        <f t="shared" si="8"/>
        <v>1283.9500411651723</v>
      </c>
      <c r="V60" s="5">
        <f t="shared" si="8"/>
        <v>1306.5351864675958</v>
      </c>
      <c r="W60" s="5">
        <f t="shared" si="8"/>
        <v>1329.319885451116</v>
      </c>
      <c r="X60" s="5">
        <f>(X57+X58)*X55</f>
        <v>1352.295784705827</v>
      </c>
      <c r="Y60" s="5">
        <f aca="true" t="shared" si="9" ref="Y60:AG60">(Y57+Y58)*Y55</f>
        <v>1375.4538500189142</v>
      </c>
      <c r="Z60" s="5">
        <f t="shared" si="9"/>
        <v>1398.7843330445517</v>
      </c>
      <c r="AA60" s="5">
        <f t="shared" si="9"/>
        <v>1422.2767365867103</v>
      </c>
      <c r="AB60" s="5">
        <f t="shared" si="9"/>
        <v>1445.9197784416583</v>
      </c>
      <c r="AC60" s="5">
        <f t="shared" si="9"/>
        <v>1469.7013537449752</v>
      </c>
      <c r="AD60" s="5">
        <f t="shared" si="9"/>
        <v>1493.6084957658936</v>
      </c>
      <c r="AE60" s="5">
        <f t="shared" si="9"/>
        <v>1517.6273350896965</v>
      </c>
      <c r="AF60" s="5">
        <f t="shared" si="9"/>
        <v>1541.7430571267384</v>
      </c>
      <c r="AG60" s="5">
        <f t="shared" si="9"/>
        <v>1565.939857884422</v>
      </c>
    </row>
    <row r="61" spans="3:33" ht="12.75">
      <c r="C61" t="s">
        <v>28</v>
      </c>
      <c r="D61" s="5">
        <f aca="true" t="shared" si="10" ref="D61:W61">D58*$B35</f>
        <v>0</v>
      </c>
      <c r="E61" s="5">
        <f t="shared" si="10"/>
        <v>0</v>
      </c>
      <c r="F61" s="5">
        <f t="shared" si="10"/>
        <v>0</v>
      </c>
      <c r="G61" s="5">
        <f t="shared" si="10"/>
        <v>0</v>
      </c>
      <c r="H61" s="5">
        <f t="shared" si="10"/>
        <v>0</v>
      </c>
      <c r="I61" s="5">
        <f t="shared" si="10"/>
        <v>0</v>
      </c>
      <c r="J61" s="5">
        <f t="shared" si="10"/>
        <v>0</v>
      </c>
      <c r="K61" s="5">
        <f t="shared" si="10"/>
        <v>0</v>
      </c>
      <c r="L61" s="5">
        <f t="shared" si="10"/>
        <v>0</v>
      </c>
      <c r="M61" s="5">
        <f t="shared" si="10"/>
        <v>0</v>
      </c>
      <c r="N61" s="5">
        <f t="shared" si="10"/>
        <v>0</v>
      </c>
      <c r="O61" s="5">
        <f t="shared" si="10"/>
        <v>0</v>
      </c>
      <c r="P61" s="5">
        <f t="shared" si="10"/>
        <v>0</v>
      </c>
      <c r="Q61" s="5">
        <f t="shared" si="10"/>
        <v>0</v>
      </c>
      <c r="R61" s="5">
        <f t="shared" si="10"/>
        <v>0</v>
      </c>
      <c r="S61" s="5">
        <f t="shared" si="10"/>
        <v>0</v>
      </c>
      <c r="T61" s="5">
        <f t="shared" si="10"/>
        <v>0</v>
      </c>
      <c r="U61" s="5">
        <f t="shared" si="10"/>
        <v>0</v>
      </c>
      <c r="V61" s="5">
        <f t="shared" si="10"/>
        <v>0</v>
      </c>
      <c r="W61" s="5">
        <f t="shared" si="10"/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</row>
    <row r="62" spans="3:33" ht="12.75">
      <c r="C62" t="s">
        <v>29</v>
      </c>
      <c r="D62" s="5">
        <f>D60+D61</f>
        <v>935.9167356000002</v>
      </c>
      <c r="E62" s="5">
        <f aca="true" t="shared" si="11" ref="E62:AG62">E60+E61</f>
        <v>954.3542952913201</v>
      </c>
      <c r="F62" s="5">
        <f t="shared" si="11"/>
        <v>973.0557835020794</v>
      </c>
      <c r="G62" s="5">
        <f t="shared" si="11"/>
        <v>992.0204421397218</v>
      </c>
      <c r="H62" s="5">
        <f t="shared" si="11"/>
        <v>1011.2472300904711</v>
      </c>
      <c r="I62" s="5">
        <f t="shared" si="11"/>
        <v>1030.7348069203395</v>
      </c>
      <c r="J62" s="5">
        <f t="shared" si="11"/>
        <v>1050.4815158529186</v>
      </c>
      <c r="K62" s="5">
        <f t="shared" si="11"/>
        <v>1070.4853659952241</v>
      </c>
      <c r="L62" s="5">
        <f t="shared" si="11"/>
        <v>1090.7440137818005</v>
      </c>
      <c r="M62" s="5">
        <f t="shared" si="11"/>
        <v>1111.2547436061757</v>
      </c>
      <c r="N62" s="5">
        <f t="shared" si="11"/>
        <v>1132.0144476076098</v>
      </c>
      <c r="O62" s="5">
        <f t="shared" si="11"/>
        <v>1153.0196045798843</v>
      </c>
      <c r="P62" s="5">
        <f t="shared" si="11"/>
        <v>1174.2662579676482</v>
      </c>
      <c r="Q62" s="5">
        <f t="shared" si="11"/>
        <v>1195.7499929145565</v>
      </c>
      <c r="R62" s="5">
        <f t="shared" si="11"/>
        <v>1217.465912326108</v>
      </c>
      <c r="S62" s="5">
        <f t="shared" si="11"/>
        <v>1239.4086119087299</v>
      </c>
      <c r="T62" s="5">
        <f t="shared" si="11"/>
        <v>1261.5721541452153</v>
      </c>
      <c r="U62" s="5">
        <f t="shared" si="11"/>
        <v>1283.9500411651723</v>
      </c>
      <c r="V62" s="5">
        <f t="shared" si="11"/>
        <v>1306.5351864675958</v>
      </c>
      <c r="W62" s="5">
        <f t="shared" si="11"/>
        <v>1329.319885451116</v>
      </c>
      <c r="X62" s="5">
        <f t="shared" si="11"/>
        <v>1352.295784705827</v>
      </c>
      <c r="Y62" s="5">
        <f t="shared" si="11"/>
        <v>1375.4538500189142</v>
      </c>
      <c r="Z62" s="5">
        <f t="shared" si="11"/>
        <v>1398.7843330445517</v>
      </c>
      <c r="AA62" s="5">
        <f t="shared" si="11"/>
        <v>1422.2767365867103</v>
      </c>
      <c r="AB62" s="5">
        <f t="shared" si="11"/>
        <v>1445.9197784416583</v>
      </c>
      <c r="AC62" s="5">
        <f t="shared" si="11"/>
        <v>1469.7013537449752</v>
      </c>
      <c r="AD62" s="5">
        <f t="shared" si="11"/>
        <v>1493.6084957658936</v>
      </c>
      <c r="AE62" s="5">
        <f t="shared" si="11"/>
        <v>1517.6273350896965</v>
      </c>
      <c r="AF62" s="5">
        <f t="shared" si="11"/>
        <v>1541.7430571267384</v>
      </c>
      <c r="AG62" s="5">
        <f t="shared" si="11"/>
        <v>1565.939857884422</v>
      </c>
    </row>
    <row r="65" spans="4:5" ht="12.75">
      <c r="D65">
        <v>100</v>
      </c>
      <c r="E65">
        <v>0.989</v>
      </c>
    </row>
    <row r="66" ht="12.75">
      <c r="D66">
        <f>D65*E$65</f>
        <v>98.9</v>
      </c>
    </row>
    <row r="67" ht="12.75">
      <c r="D67">
        <f aca="true" t="shared" si="12" ref="D67:D94">D66*E$65</f>
        <v>97.8121</v>
      </c>
    </row>
    <row r="68" ht="12.75">
      <c r="D68">
        <f t="shared" si="12"/>
        <v>96.7361669</v>
      </c>
    </row>
    <row r="69" ht="12.75">
      <c r="D69">
        <f t="shared" si="12"/>
        <v>95.6720690641</v>
      </c>
    </row>
    <row r="70" ht="12.75">
      <c r="D70">
        <f t="shared" si="12"/>
        <v>94.6196763043949</v>
      </c>
    </row>
    <row r="71" ht="12.75">
      <c r="D71">
        <f t="shared" si="12"/>
        <v>93.57885986504655</v>
      </c>
    </row>
    <row r="72" ht="12.75">
      <c r="D72">
        <f t="shared" si="12"/>
        <v>92.54949240653104</v>
      </c>
    </row>
    <row r="73" ht="12.75">
      <c r="D73">
        <f t="shared" si="12"/>
        <v>91.5314479900592</v>
      </c>
    </row>
    <row r="74" ht="12.75">
      <c r="D74">
        <f t="shared" si="12"/>
        <v>90.52460206216855</v>
      </c>
    </row>
    <row r="75" ht="12.75">
      <c r="D75">
        <f t="shared" si="12"/>
        <v>89.5288314394847</v>
      </c>
    </row>
    <row r="76" ht="12.75">
      <c r="D76">
        <f t="shared" si="12"/>
        <v>88.54401429365038</v>
      </c>
    </row>
    <row r="77" ht="12.75">
      <c r="D77">
        <f t="shared" si="12"/>
        <v>87.57003013642023</v>
      </c>
    </row>
    <row r="78" ht="12.75">
      <c r="D78">
        <f t="shared" si="12"/>
        <v>86.6067598049196</v>
      </c>
    </row>
    <row r="79" ht="12.75">
      <c r="D79">
        <f t="shared" si="12"/>
        <v>85.65408544706548</v>
      </c>
    </row>
    <row r="80" ht="12.75">
      <c r="D80">
        <f t="shared" si="12"/>
        <v>84.71189050714776</v>
      </c>
    </row>
    <row r="81" ht="12.75">
      <c r="D81">
        <f t="shared" si="12"/>
        <v>83.78005971156914</v>
      </c>
    </row>
    <row r="82" ht="12.75">
      <c r="D82">
        <f t="shared" si="12"/>
        <v>82.85847905474188</v>
      </c>
    </row>
    <row r="83" ht="12.75">
      <c r="D83">
        <f t="shared" si="12"/>
        <v>81.94703578513972</v>
      </c>
    </row>
    <row r="84" ht="12.75">
      <c r="D84">
        <f t="shared" si="12"/>
        <v>81.04561839150318</v>
      </c>
    </row>
    <row r="85" ht="12.75">
      <c r="D85">
        <f t="shared" si="12"/>
        <v>80.15411658919665</v>
      </c>
    </row>
    <row r="86" ht="12.75">
      <c r="D86">
        <f t="shared" si="12"/>
        <v>79.27242130671549</v>
      </c>
    </row>
    <row r="87" ht="12.75">
      <c r="D87">
        <f t="shared" si="12"/>
        <v>78.40042467234161</v>
      </c>
    </row>
    <row r="88" ht="12.75">
      <c r="D88">
        <f t="shared" si="12"/>
        <v>77.53802000094585</v>
      </c>
    </row>
    <row r="89" ht="12.75">
      <c r="D89">
        <f t="shared" si="12"/>
        <v>76.68510178093544</v>
      </c>
    </row>
    <row r="90" ht="12.75">
      <c r="D90">
        <f t="shared" si="12"/>
        <v>75.84156566134514</v>
      </c>
    </row>
    <row r="91" ht="12.75">
      <c r="D91">
        <f t="shared" si="12"/>
        <v>75.00730843907034</v>
      </c>
    </row>
    <row r="92" ht="12.75">
      <c r="D92">
        <f t="shared" si="12"/>
        <v>74.18222804624057</v>
      </c>
    </row>
    <row r="93" ht="12.75">
      <c r="D93">
        <f t="shared" si="12"/>
        <v>73.36622353773193</v>
      </c>
    </row>
    <row r="94" ht="12.75">
      <c r="D94">
        <f t="shared" si="12"/>
        <v>72.55919507881687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</cp:lastModifiedBy>
  <cp:lastPrinted>2009-07-19T10:26:05Z</cp:lastPrinted>
  <dcterms:created xsi:type="dcterms:W3CDTF">2009-04-11T06:00:01Z</dcterms:created>
  <dcterms:modified xsi:type="dcterms:W3CDTF">2009-08-11T11:18:35Z</dcterms:modified>
  <cp:category/>
  <cp:version/>
  <cp:contentType/>
  <cp:contentStatus/>
</cp:coreProperties>
</file>